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onneau\Documents\AUNEGe\ANALYSE FINANCIERE (Christine)\Partie4 - Premiers éléments de diagnostic financier\"/>
    </mc:Choice>
  </mc:AlternateContent>
  <xr:revisionPtr revIDLastSave="0" documentId="13_ncr:1_{05EBCC2B-F34E-45F4-BF92-0D7275B7104F}" xr6:coauthVersionLast="47" xr6:coauthVersionMax="47" xr10:uidLastSave="{00000000-0000-0000-0000-000000000000}"/>
  <bookViews>
    <workbookView xWindow="28680" yWindow="-75" windowWidth="29040" windowHeight="15840" xr2:uid="{BD6BEE7E-09F2-B446-9EB5-5C4A8D200DA5}"/>
  </bookViews>
  <sheets>
    <sheet name="Illustr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I31" i="1"/>
  <c r="H31" i="1"/>
  <c r="I29" i="1"/>
  <c r="H29" i="1"/>
  <c r="I27" i="1"/>
  <c r="H27" i="1"/>
  <c r="I25" i="1"/>
  <c r="H25" i="1"/>
  <c r="I21" i="1"/>
  <c r="H21" i="1"/>
  <c r="I19" i="1"/>
  <c r="H19" i="1"/>
  <c r="I17" i="1"/>
  <c r="H17" i="1"/>
  <c r="I15" i="1"/>
  <c r="H15" i="1"/>
  <c r="I13" i="1"/>
  <c r="H13" i="1"/>
  <c r="I9" i="1"/>
  <c r="H9" i="1"/>
  <c r="I7" i="1"/>
  <c r="H7" i="1"/>
  <c r="I5" i="1"/>
  <c r="H5" i="1"/>
  <c r="H49" i="1" l="1"/>
  <c r="H48" i="1"/>
  <c r="H47" i="1"/>
  <c r="H41" i="1"/>
  <c r="H40" i="1"/>
  <c r="C47" i="1"/>
  <c r="E47" i="1" s="1"/>
  <c r="C46" i="1"/>
  <c r="E46" i="1" s="1"/>
  <c r="C40" i="1"/>
  <c r="C41" i="1"/>
  <c r="E41" i="1" s="1"/>
  <c r="D40" i="1"/>
  <c r="E40" i="1" s="1"/>
  <c r="C39" i="1"/>
  <c r="E39" i="1" s="1"/>
  <c r="I40" i="1"/>
  <c r="D11" i="1"/>
  <c r="C11" i="1"/>
  <c r="C17" i="1"/>
  <c r="D23" i="1"/>
  <c r="C23" i="1"/>
  <c r="D24" i="1"/>
  <c r="C24" i="1"/>
  <c r="C21" i="1"/>
  <c r="D28" i="1"/>
  <c r="D17" i="1"/>
  <c r="D20" i="1" s="1"/>
  <c r="C20" i="1"/>
  <c r="D14" i="1"/>
  <c r="C14" i="1"/>
  <c r="C9" i="1"/>
  <c r="D5" i="1"/>
  <c r="D7" i="1" s="1"/>
  <c r="C5" i="1"/>
  <c r="C7" i="1" s="1"/>
  <c r="E50" i="1"/>
  <c r="E48" i="1"/>
  <c r="D53" i="1"/>
  <c r="C28" i="1"/>
  <c r="D25" i="1" l="1"/>
  <c r="F53" i="1"/>
  <c r="D15" i="1"/>
  <c r="D16" i="1" s="1"/>
  <c r="D29" i="1" s="1"/>
  <c r="H53" i="1"/>
  <c r="I53" i="1"/>
  <c r="C45" i="1"/>
  <c r="C15" i="1"/>
  <c r="C16" i="1" s="1"/>
  <c r="C29" i="1" s="1"/>
  <c r="D45" i="1"/>
  <c r="D54" i="1" s="1"/>
  <c r="F45" i="1"/>
  <c r="C25" i="1"/>
  <c r="C53" i="1"/>
  <c r="E53" i="1"/>
  <c r="H45" i="1"/>
  <c r="C54" i="1" l="1"/>
  <c r="E45" i="1"/>
  <c r="E54" i="1" s="1"/>
  <c r="F54" i="1"/>
  <c r="H54" i="1"/>
  <c r="I45" i="1"/>
  <c r="I54" i="1" s="1"/>
  <c r="D32" i="1"/>
  <c r="D34" i="1" l="1"/>
  <c r="C32" i="1"/>
  <c r="C34" i="1" l="1"/>
</calcChain>
</file>

<file path=xl/sharedStrings.xml><?xml version="1.0" encoding="utf-8"?>
<sst xmlns="http://schemas.openxmlformats.org/spreadsheetml/2006/main" count="76" uniqueCount="70">
  <si>
    <t>Compte de résultat</t>
  </si>
  <si>
    <t>Ventes de marchandises</t>
  </si>
  <si>
    <t>Total des produits d'exploitation</t>
  </si>
  <si>
    <t>Achats de marchandises</t>
  </si>
  <si>
    <t>Variation de stock</t>
  </si>
  <si>
    <t>Autres achats et charges externes</t>
  </si>
  <si>
    <t xml:space="preserve">Salaires et traitements </t>
  </si>
  <si>
    <t xml:space="preserve">DAP </t>
  </si>
  <si>
    <t>Total des charges d'exploitation</t>
  </si>
  <si>
    <t>Résultat d'exploitation</t>
  </si>
  <si>
    <t>Produits des autres VMP</t>
  </si>
  <si>
    <t>Total de produits financiers</t>
  </si>
  <si>
    <t>Intérêts et charges assimilées</t>
  </si>
  <si>
    <t>Total des charges financières</t>
  </si>
  <si>
    <t>Résultat financier</t>
  </si>
  <si>
    <t>Produit exceptionnel</t>
  </si>
  <si>
    <t>Charge exceptionnelle</t>
  </si>
  <si>
    <t>Résultat exceptionnel</t>
  </si>
  <si>
    <t>Résultat courant avant impôt</t>
  </si>
  <si>
    <t>IS</t>
  </si>
  <si>
    <t>Résultat Net</t>
  </si>
  <si>
    <t>u = keuros</t>
  </si>
  <si>
    <t>ACTIF</t>
  </si>
  <si>
    <t>PASSIF</t>
  </si>
  <si>
    <t>déc.22</t>
  </si>
  <si>
    <t>déc.21</t>
  </si>
  <si>
    <t>Brut</t>
  </si>
  <si>
    <t>Amort. Prov</t>
  </si>
  <si>
    <t>Net</t>
  </si>
  <si>
    <t>Immobilisations incorporelles</t>
  </si>
  <si>
    <t>Capital social</t>
  </si>
  <si>
    <t>Immobilisations financières</t>
  </si>
  <si>
    <t>Réserves</t>
  </si>
  <si>
    <t>Résultat de l’exercice</t>
  </si>
  <si>
    <t>TOTAL I</t>
  </si>
  <si>
    <t>Stocks</t>
  </si>
  <si>
    <t>Provisions (5)</t>
  </si>
  <si>
    <t>Créances (3)</t>
  </si>
  <si>
    <t>Emprunts bancaires (1)</t>
  </si>
  <si>
    <t>VMP</t>
  </si>
  <si>
    <t>Dettes fournisseurs</t>
  </si>
  <si>
    <t>Disponibilités</t>
  </si>
  <si>
    <t>Divers (4)</t>
  </si>
  <si>
    <t>Trésorerie Passif</t>
  </si>
  <si>
    <t>TOTAL II</t>
  </si>
  <si>
    <t>TOTAL GENERAL</t>
  </si>
  <si>
    <t>Dettes sociales et fiscales</t>
  </si>
  <si>
    <t>Reprise sur dépréciation</t>
  </si>
  <si>
    <t>Produits nets des cessions</t>
  </si>
  <si>
    <t>Participation des salariés</t>
  </si>
  <si>
    <t>DAP</t>
  </si>
  <si>
    <t>Charges sur cession</t>
  </si>
  <si>
    <t>Autres dettes  (hors exploitation)</t>
  </si>
  <si>
    <t xml:space="preserve">Immobilisations corporelles </t>
  </si>
  <si>
    <t>Dettes financières/Capitaux Propres</t>
  </si>
  <si>
    <t>Dettes totales/ Passif Total</t>
  </si>
  <si>
    <t>Dettes financières LT/Capitaux Permanents</t>
  </si>
  <si>
    <t>Ratio  de liquidité générale</t>
  </si>
  <si>
    <t>Ratio de liquidité relative</t>
  </si>
  <si>
    <t>Ratio de liquidité immédiate</t>
  </si>
  <si>
    <t>Délai client</t>
  </si>
  <si>
    <t>Délai fournisseur</t>
  </si>
  <si>
    <t>Rotation des stocks</t>
  </si>
  <si>
    <t>ROA</t>
  </si>
  <si>
    <t>dec 20</t>
  </si>
  <si>
    <t xml:space="preserve">ROE </t>
  </si>
  <si>
    <t xml:space="preserve">ROI </t>
  </si>
  <si>
    <t>Total actifs 2020</t>
  </si>
  <si>
    <t>Taux de marge commerciale</t>
  </si>
  <si>
    <t>Illustration - Analyse globale d'un diagnostic financier - L'entreprise Mille Fleurs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</si>
</sst>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\ _€"/>
    <numFmt numFmtId="166" formatCode="0.0%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.5"/>
      <color theme="1"/>
      <name val="Century Gothic"/>
      <family val="1"/>
    </font>
    <font>
      <b/>
      <sz val="10.5"/>
      <color theme="1"/>
      <name val="Century Gothic"/>
      <family val="1"/>
    </font>
    <font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0.5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2" borderId="0" xfId="0" applyFont="1" applyFill="1"/>
    <xf numFmtId="164" fontId="0" fillId="2" borderId="0" xfId="0" applyNumberFormat="1" applyFill="1"/>
    <xf numFmtId="164" fontId="1" fillId="2" borderId="0" xfId="0" applyNumberFormat="1" applyFont="1" applyFill="1"/>
    <xf numFmtId="0" fontId="2" fillId="2" borderId="0" xfId="0" applyFont="1" applyFill="1"/>
    <xf numFmtId="0" fontId="0" fillId="0" borderId="0" xfId="0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4" fontId="3" fillId="0" borderId="2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165" fontId="3" fillId="0" borderId="9" xfId="0" applyNumberFormat="1" applyFont="1" applyBorder="1" applyAlignment="1">
      <alignment horizontal="justify" vertical="center" wrapText="1"/>
    </xf>
    <xf numFmtId="0" fontId="0" fillId="0" borderId="8" xfId="0" applyBorder="1" applyAlignment="1">
      <alignment vertical="top" wrapText="1"/>
    </xf>
    <xf numFmtId="165" fontId="0" fillId="0" borderId="9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165" fontId="0" fillId="0" borderId="6" xfId="0" applyNumberFormat="1" applyBorder="1" applyAlignment="1">
      <alignment vertical="top" wrapText="1"/>
    </xf>
    <xf numFmtId="165" fontId="3" fillId="0" borderId="6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2" fontId="3" fillId="0" borderId="0" xfId="0" applyNumberFormat="1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2" borderId="0" xfId="0" applyFill="1"/>
    <xf numFmtId="164" fontId="0" fillId="0" borderId="0" xfId="0" applyNumberFormat="1" applyAlignment="1">
      <alignment wrapText="1"/>
    </xf>
    <xf numFmtId="165" fontId="0" fillId="0" borderId="0" xfId="0" applyNumberFormat="1"/>
    <xf numFmtId="0" fontId="6" fillId="0" borderId="0" xfId="0" applyFont="1"/>
    <xf numFmtId="3" fontId="3" fillId="0" borderId="9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 wrapText="1"/>
    </xf>
    <xf numFmtId="3" fontId="0" fillId="0" borderId="6" xfId="0" applyNumberForma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0" xfId="0" applyNumberFormat="1"/>
    <xf numFmtId="14" fontId="3" fillId="0" borderId="10" xfId="0" applyNumberFormat="1" applyFont="1" applyBorder="1" applyAlignment="1">
      <alignment horizontal="justify" vertical="center" wrapText="1"/>
    </xf>
    <xf numFmtId="0" fontId="0" fillId="0" borderId="11" xfId="0" applyBorder="1"/>
    <xf numFmtId="3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1" fillId="0" borderId="15" xfId="0" applyFont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2" borderId="16" xfId="0" applyFill="1" applyBorder="1"/>
    <xf numFmtId="10" fontId="0" fillId="2" borderId="0" xfId="1" applyNumberFormat="1" applyFont="1" applyFill="1" applyBorder="1"/>
    <xf numFmtId="10" fontId="0" fillId="2" borderId="17" xfId="1" applyNumberFormat="1" applyFont="1" applyFill="1" applyBorder="1"/>
    <xf numFmtId="0" fontId="0" fillId="2" borderId="0" xfId="0" applyFill="1" applyBorder="1"/>
    <xf numFmtId="0" fontId="0" fillId="2" borderId="17" xfId="0" applyFill="1" applyBorder="1"/>
    <xf numFmtId="166" fontId="0" fillId="2" borderId="0" xfId="1" applyNumberFormat="1" applyFont="1" applyFill="1" applyBorder="1"/>
    <xf numFmtId="166" fontId="0" fillId="2" borderId="17" xfId="1" applyNumberFormat="1" applyFont="1" applyFill="1" applyBorder="1"/>
    <xf numFmtId="2" fontId="0" fillId="2" borderId="0" xfId="0" applyNumberFormat="1" applyFill="1" applyBorder="1"/>
    <xf numFmtId="2" fontId="0" fillId="2" borderId="17" xfId="0" applyNumberFormat="1" applyFill="1" applyBorder="1"/>
    <xf numFmtId="1" fontId="0" fillId="2" borderId="0" xfId="0" applyNumberFormat="1" applyFill="1" applyBorder="1"/>
    <xf numFmtId="1" fontId="0" fillId="2" borderId="17" xfId="0" applyNumberFormat="1" applyFill="1" applyBorder="1"/>
    <xf numFmtId="9" fontId="0" fillId="2" borderId="0" xfId="1" applyFont="1" applyFill="1" applyBorder="1"/>
    <xf numFmtId="9" fontId="0" fillId="2" borderId="17" xfId="1" applyFont="1" applyFill="1" applyBorder="1"/>
    <xf numFmtId="0" fontId="0" fillId="2" borderId="18" xfId="0" applyFill="1" applyBorder="1"/>
    <xf numFmtId="9" fontId="0" fillId="2" borderId="19" xfId="1" applyFont="1" applyFill="1" applyBorder="1"/>
    <xf numFmtId="9" fontId="0" fillId="2" borderId="20" xfId="1" applyFont="1" applyFill="1" applyBorder="1"/>
    <xf numFmtId="0" fontId="0" fillId="0" borderId="8" xfId="0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14" fontId="3" fillId="0" borderId="21" xfId="0" applyNumberFormat="1" applyFont="1" applyBorder="1" applyAlignment="1">
      <alignment horizontal="justify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13540-F1DD-DD45-89C3-8B2CDEFFA9F5}">
  <dimension ref="A1:R56"/>
  <sheetViews>
    <sheetView tabSelected="1" workbookViewId="0"/>
  </sheetViews>
  <sheetFormatPr baseColWidth="10" defaultRowHeight="15.75" x14ac:dyDescent="0.25"/>
  <cols>
    <col min="2" max="2" width="32.125" customWidth="1"/>
    <col min="7" max="7" width="53.125" customWidth="1"/>
    <col min="8" max="9" width="11.625" bestFit="1" customWidth="1"/>
    <col min="14" max="14" width="41.5" customWidth="1"/>
    <col min="16" max="16" width="33" customWidth="1"/>
  </cols>
  <sheetData>
    <row r="1" spans="1:18" ht="18.75" x14ac:dyDescent="0.3">
      <c r="A1" s="30" t="s">
        <v>69</v>
      </c>
    </row>
    <row r="2" spans="1:18" ht="16.5" thickBot="1" x14ac:dyDescent="0.3">
      <c r="N2" s="7"/>
      <c r="O2" s="7"/>
      <c r="P2" s="7"/>
      <c r="Q2" s="7"/>
      <c r="R2" s="7"/>
    </row>
    <row r="3" spans="1:18" x14ac:dyDescent="0.25">
      <c r="B3" s="1" t="s">
        <v>0</v>
      </c>
      <c r="C3" s="1">
        <v>2022</v>
      </c>
      <c r="D3" s="1">
        <v>2021</v>
      </c>
      <c r="G3" s="42"/>
      <c r="H3" s="43">
        <v>2022</v>
      </c>
      <c r="I3" s="44">
        <v>2021</v>
      </c>
    </row>
    <row r="4" spans="1:18" x14ac:dyDescent="0.25">
      <c r="G4" s="45"/>
      <c r="H4" s="46"/>
      <c r="I4" s="47"/>
    </row>
    <row r="5" spans="1:18" x14ac:dyDescent="0.25">
      <c r="B5" t="s">
        <v>1</v>
      </c>
      <c r="C5" s="2">
        <f>421090+2178</f>
        <v>423268</v>
      </c>
      <c r="D5" s="2">
        <f>391836+1936</f>
        <v>393772</v>
      </c>
      <c r="G5" s="48" t="s">
        <v>54</v>
      </c>
      <c r="H5" s="49">
        <f>H47/H45</f>
        <v>7.7024734016174823E-2</v>
      </c>
      <c r="I5" s="50">
        <f>I47/I45</f>
        <v>6.6346235256573072E-2</v>
      </c>
    </row>
    <row r="6" spans="1:18" x14ac:dyDescent="0.25">
      <c r="C6" s="2"/>
      <c r="D6" s="2"/>
      <c r="G6" s="48"/>
      <c r="H6" s="51"/>
      <c r="I6" s="52"/>
    </row>
    <row r="7" spans="1:18" x14ac:dyDescent="0.25">
      <c r="B7" s="3" t="s">
        <v>2</v>
      </c>
      <c r="C7" s="5">
        <f>SUM(C5:C6)</f>
        <v>423268</v>
      </c>
      <c r="D7" s="5">
        <f>SUM(D5:D6)</f>
        <v>393772</v>
      </c>
      <c r="G7" s="48" t="s">
        <v>55</v>
      </c>
      <c r="H7" s="53">
        <f>(H47+H48+H49+H51)/H54</f>
        <v>0.16798478035899084</v>
      </c>
      <c r="I7" s="54">
        <f>(I47+I48+I49+I51)/I54</f>
        <v>0.18277984612887171</v>
      </c>
    </row>
    <row r="8" spans="1:18" x14ac:dyDescent="0.25">
      <c r="C8" s="2"/>
      <c r="D8" s="2"/>
      <c r="G8" s="48"/>
      <c r="H8" s="51"/>
      <c r="I8" s="52"/>
    </row>
    <row r="9" spans="1:18" x14ac:dyDescent="0.25">
      <c r="B9" t="s">
        <v>3</v>
      </c>
      <c r="C9" s="2">
        <f>154283</f>
        <v>154283</v>
      </c>
      <c r="D9" s="2">
        <v>155254</v>
      </c>
      <c r="G9" s="48" t="s">
        <v>56</v>
      </c>
      <c r="H9" s="53">
        <f>H47/(H45+H47)</f>
        <v>7.151621646510678E-2</v>
      </c>
      <c r="I9" s="54">
        <f>I47/(I45+I47)</f>
        <v>6.2218286202895011E-2</v>
      </c>
    </row>
    <row r="10" spans="1:18" x14ac:dyDescent="0.25">
      <c r="B10" t="s">
        <v>4</v>
      </c>
      <c r="C10" s="2">
        <v>-1195</v>
      </c>
      <c r="D10" s="2">
        <v>-2495</v>
      </c>
      <c r="G10" s="45"/>
      <c r="H10" s="46"/>
      <c r="I10" s="47"/>
    </row>
    <row r="11" spans="1:18" x14ac:dyDescent="0.25">
      <c r="B11" t="s">
        <v>5</v>
      </c>
      <c r="C11" s="2">
        <f>57378+4449+792-815</f>
        <v>61804</v>
      </c>
      <c r="D11" s="2">
        <f>53464+4227+1110-1748</f>
        <v>57053</v>
      </c>
      <c r="G11" s="45"/>
      <c r="H11" s="46"/>
      <c r="I11" s="47"/>
    </row>
    <row r="12" spans="1:18" x14ac:dyDescent="0.25">
      <c r="B12" t="s">
        <v>6</v>
      </c>
      <c r="C12" s="2">
        <v>63144</v>
      </c>
      <c r="D12" s="2">
        <v>57714</v>
      </c>
      <c r="G12" s="45"/>
      <c r="H12" s="46"/>
      <c r="I12" s="47"/>
    </row>
    <row r="13" spans="1:18" x14ac:dyDescent="0.25">
      <c r="C13" s="2"/>
      <c r="D13" s="2"/>
      <c r="G13" s="48" t="s">
        <v>57</v>
      </c>
      <c r="H13" s="55">
        <f>(E46+E47)/(H48+H49+H51)</f>
        <v>2.0415584415584416</v>
      </c>
      <c r="I13" s="56">
        <f>(F46+F47)/(I48+I49+I51)</f>
        <v>2.3439938727773293</v>
      </c>
    </row>
    <row r="14" spans="1:18" x14ac:dyDescent="0.25">
      <c r="B14" t="s">
        <v>7</v>
      </c>
      <c r="C14" s="2">
        <f>13082+3185</f>
        <v>16267</v>
      </c>
      <c r="D14" s="2">
        <f>11819+790</f>
        <v>12609</v>
      </c>
      <c r="G14" s="48"/>
      <c r="H14" s="51"/>
      <c r="I14" s="52"/>
    </row>
    <row r="15" spans="1:18" x14ac:dyDescent="0.25">
      <c r="B15" s="3" t="s">
        <v>8</v>
      </c>
      <c r="C15" s="5">
        <f>SUM(C9:C14)</f>
        <v>294303</v>
      </c>
      <c r="D15" s="5">
        <f>SUM(D9:D14)</f>
        <v>280135</v>
      </c>
      <c r="G15" s="48" t="s">
        <v>58</v>
      </c>
      <c r="H15" s="55">
        <f>(E48+E50+E47)/(H48+H49+H51)</f>
        <v>5.090393903617044</v>
      </c>
      <c r="I15" s="56">
        <f>(F48+F50+F47)/(I48+I49+I51)</f>
        <v>5.5018940570080108</v>
      </c>
    </row>
    <row r="16" spans="1:18" x14ac:dyDescent="0.25">
      <c r="B16" s="6" t="s">
        <v>9</v>
      </c>
      <c r="C16" s="5">
        <f>C7-C15</f>
        <v>128965</v>
      </c>
      <c r="D16" s="5">
        <f>D7-D15</f>
        <v>113637</v>
      </c>
      <c r="G16" s="48"/>
      <c r="H16" s="51"/>
      <c r="I16" s="52"/>
    </row>
    <row r="17" spans="2:9" x14ac:dyDescent="0.25">
      <c r="B17" t="s">
        <v>10</v>
      </c>
      <c r="C17" s="2">
        <f>1547+3765+11292+84</f>
        <v>16688</v>
      </c>
      <c r="D17" s="2">
        <f>1980+2224+14210+21</f>
        <v>18435</v>
      </c>
      <c r="G17" s="48" t="s">
        <v>59</v>
      </c>
      <c r="H17" s="55">
        <f>(E48+E50)/(H48+H49+H51)</f>
        <v>3.6617366104969409</v>
      </c>
      <c r="I17" s="56">
        <f>(F48+F50)/(I48+I49+I51)</f>
        <v>3.7422633463743815</v>
      </c>
    </row>
    <row r="18" spans="2:9" x14ac:dyDescent="0.25">
      <c r="B18" t="s">
        <v>47</v>
      </c>
      <c r="C18" s="2">
        <v>804</v>
      </c>
      <c r="D18" s="2">
        <v>753</v>
      </c>
      <c r="G18" s="45"/>
      <c r="H18" s="46"/>
      <c r="I18" s="47"/>
    </row>
    <row r="19" spans="2:9" x14ac:dyDescent="0.25">
      <c r="B19" t="s">
        <v>48</v>
      </c>
      <c r="C19" s="2">
        <v>2413</v>
      </c>
      <c r="D19" s="2">
        <v>9106</v>
      </c>
      <c r="G19" s="48" t="s">
        <v>60</v>
      </c>
      <c r="H19" s="57">
        <f>E47/C5*360</f>
        <v>56.605838381356499</v>
      </c>
      <c r="I19" s="58">
        <f>(F47/D5)*360</f>
        <v>77.715429233160307</v>
      </c>
    </row>
    <row r="20" spans="2:9" x14ac:dyDescent="0.25">
      <c r="B20" s="1" t="s">
        <v>11</v>
      </c>
      <c r="C20" s="2">
        <f>C19+C17+C18</f>
        <v>19905</v>
      </c>
      <c r="D20" s="2">
        <f>D19+D17+D18</f>
        <v>28294</v>
      </c>
      <c r="G20" s="48"/>
      <c r="H20" s="51"/>
      <c r="I20" s="52"/>
    </row>
    <row r="21" spans="2:9" x14ac:dyDescent="0.25">
      <c r="B21" t="s">
        <v>50</v>
      </c>
      <c r="C21" s="2">
        <f>579</f>
        <v>579</v>
      </c>
      <c r="D21" s="2">
        <v>917</v>
      </c>
      <c r="G21" s="48" t="s">
        <v>61</v>
      </c>
      <c r="H21" s="57">
        <f>(H48/C11)*360</f>
        <v>95.900588958643453</v>
      </c>
      <c r="I21" s="58">
        <f>(I48/D11)*360</f>
        <v>72.235991095998457</v>
      </c>
    </row>
    <row r="22" spans="2:9" x14ac:dyDescent="0.25">
      <c r="B22" t="s">
        <v>51</v>
      </c>
      <c r="C22" s="2">
        <v>4503</v>
      </c>
      <c r="D22" s="2">
        <v>6510</v>
      </c>
      <c r="G22" s="48"/>
      <c r="H22" s="57"/>
      <c r="I22" s="58"/>
    </row>
    <row r="23" spans="2:9" x14ac:dyDescent="0.25">
      <c r="B23" t="s">
        <v>12</v>
      </c>
      <c r="C23" s="2">
        <f>5327+1010</f>
        <v>6337</v>
      </c>
      <c r="D23" s="2">
        <f>4556+37</f>
        <v>4593</v>
      </c>
      <c r="G23" s="48" t="s">
        <v>62</v>
      </c>
      <c r="H23" s="57">
        <f>(E46/(C9+C10))*360</f>
        <v>67.142558528428097</v>
      </c>
      <c r="I23" s="58">
        <f>(F46/(D9+D10))*360</f>
        <v>66.528322390170132</v>
      </c>
    </row>
    <row r="24" spans="2:9" x14ac:dyDescent="0.25">
      <c r="B24" s="3" t="s">
        <v>13</v>
      </c>
      <c r="C24" s="5">
        <f>SUM(C21:C23)</f>
        <v>11419</v>
      </c>
      <c r="D24" s="5">
        <f>SUM(D21:D23)</f>
        <v>12020</v>
      </c>
      <c r="G24" s="45"/>
      <c r="H24" s="46"/>
      <c r="I24" s="47"/>
    </row>
    <row r="25" spans="2:9" x14ac:dyDescent="0.25">
      <c r="B25" s="3" t="s">
        <v>14</v>
      </c>
      <c r="C25" s="4">
        <f>C20-C24</f>
        <v>8486</v>
      </c>
      <c r="D25" s="4">
        <f>D20-D24</f>
        <v>16274</v>
      </c>
      <c r="G25" s="48" t="s">
        <v>65</v>
      </c>
      <c r="H25" s="59">
        <f>C32/((H45+I45)/2)</f>
        <v>0.22944562476567151</v>
      </c>
      <c r="I25" s="60">
        <f>D32/((I45+J45)/2)</f>
        <v>0.26820534833126047</v>
      </c>
    </row>
    <row r="26" spans="2:9" x14ac:dyDescent="0.25">
      <c r="B26" s="1" t="s">
        <v>15</v>
      </c>
      <c r="C26" s="2">
        <v>3816</v>
      </c>
      <c r="D26" s="2">
        <v>5215</v>
      </c>
      <c r="G26" s="48"/>
      <c r="H26" s="51"/>
      <c r="I26" s="52"/>
    </row>
    <row r="27" spans="2:9" x14ac:dyDescent="0.25">
      <c r="B27" s="1" t="s">
        <v>16</v>
      </c>
      <c r="C27" s="2">
        <v>998</v>
      </c>
      <c r="D27" s="2">
        <v>4840</v>
      </c>
      <c r="G27" s="48" t="s">
        <v>66</v>
      </c>
      <c r="H27" s="59">
        <f>(C32/((H47+I47+H45+I45)/2))</f>
        <v>0.21399451211736006</v>
      </c>
      <c r="I27" s="60">
        <f>(D32/((I47+J47+I45+J45)/2))</f>
        <v>0.25045694131109181</v>
      </c>
    </row>
    <row r="28" spans="2:9" x14ac:dyDescent="0.25">
      <c r="B28" s="3" t="s">
        <v>17</v>
      </c>
      <c r="C28" s="4">
        <f>C26-C27</f>
        <v>2818</v>
      </c>
      <c r="D28" s="4">
        <f>D26-D27</f>
        <v>375</v>
      </c>
      <c r="G28" s="48"/>
      <c r="H28" s="51"/>
      <c r="I28" s="52"/>
    </row>
    <row r="29" spans="2:9" x14ac:dyDescent="0.25">
      <c r="B29" s="3" t="s">
        <v>18</v>
      </c>
      <c r="C29" s="4">
        <f>C16+C25+C28</f>
        <v>140269</v>
      </c>
      <c r="D29" s="4">
        <f>D16+D25+D28</f>
        <v>130286</v>
      </c>
      <c r="G29" s="48" t="s">
        <v>63</v>
      </c>
      <c r="H29" s="59">
        <f>C32/((E54+F54)/2)</f>
        <v>0.18935443985648018</v>
      </c>
      <c r="I29" s="60">
        <f>D32/((F54+F56)/2)</f>
        <v>0.20788841335968491</v>
      </c>
    </row>
    <row r="30" spans="2:9" x14ac:dyDescent="0.25">
      <c r="B30" s="27" t="s">
        <v>49</v>
      </c>
      <c r="C30" s="4">
        <v>11335</v>
      </c>
      <c r="D30" s="4">
        <v>9928</v>
      </c>
      <c r="G30" s="48"/>
      <c r="H30" s="51"/>
      <c r="I30" s="52"/>
    </row>
    <row r="31" spans="2:9" ht="16.5" thickBot="1" x14ac:dyDescent="0.3">
      <c r="B31" t="s">
        <v>19</v>
      </c>
      <c r="C31" s="2">
        <v>50907</v>
      </c>
      <c r="D31" s="2">
        <v>47253</v>
      </c>
      <c r="G31" s="61" t="s">
        <v>68</v>
      </c>
      <c r="H31" s="62">
        <f>(C5-C9)/C5</f>
        <v>0.6354957142992147</v>
      </c>
      <c r="I31" s="63">
        <f>(D5-D9)/D5</f>
        <v>0.60572615625285697</v>
      </c>
    </row>
    <row r="32" spans="2:9" x14ac:dyDescent="0.25">
      <c r="B32" s="3" t="s">
        <v>20</v>
      </c>
      <c r="C32" s="5">
        <f>C29-C31-C30</f>
        <v>78027</v>
      </c>
      <c r="D32" s="5">
        <f>D29-D31-D30</f>
        <v>73105</v>
      </c>
    </row>
    <row r="34" spans="2:12" x14ac:dyDescent="0.25">
      <c r="B34" s="7" t="s">
        <v>21</v>
      </c>
      <c r="C34" s="28">
        <f>H42-C32</f>
        <v>0</v>
      </c>
      <c r="D34" s="28">
        <f>I42-D32</f>
        <v>0</v>
      </c>
      <c r="E34" s="7"/>
      <c r="F34" s="7"/>
      <c r="G34" s="7"/>
      <c r="H34" s="7"/>
      <c r="I34" s="7"/>
    </row>
    <row r="35" spans="2:12" ht="16.5" thickBot="1" x14ac:dyDescent="0.3">
      <c r="B35" s="7"/>
      <c r="C35" s="7"/>
      <c r="D35" s="7"/>
      <c r="E35" s="7"/>
      <c r="F35" s="7"/>
      <c r="G35" s="7"/>
      <c r="H35" s="7"/>
      <c r="I35" s="7"/>
    </row>
    <row r="36" spans="2:12" ht="16.5" thickBot="1" x14ac:dyDescent="0.3">
      <c r="B36" s="65" t="s">
        <v>22</v>
      </c>
      <c r="C36" s="26"/>
      <c r="D36" s="26"/>
      <c r="E36" s="26"/>
      <c r="F36" s="11"/>
      <c r="G36" s="65" t="s">
        <v>23</v>
      </c>
      <c r="H36" s="26"/>
      <c r="I36" s="11"/>
    </row>
    <row r="37" spans="2:12" ht="16.5" thickBot="1" x14ac:dyDescent="0.3">
      <c r="B37" s="8"/>
      <c r="C37" s="9"/>
      <c r="D37" s="10" t="s">
        <v>24</v>
      </c>
      <c r="E37" s="11"/>
      <c r="F37" s="66" t="s">
        <v>25</v>
      </c>
      <c r="G37" s="12"/>
      <c r="H37" s="66" t="s">
        <v>24</v>
      </c>
      <c r="I37" s="66" t="s">
        <v>25</v>
      </c>
      <c r="J37" s="38" t="s">
        <v>64</v>
      </c>
    </row>
    <row r="38" spans="2:12" ht="16.5" thickBot="1" x14ac:dyDescent="0.3">
      <c r="B38" s="14"/>
      <c r="C38" s="15" t="s">
        <v>26</v>
      </c>
      <c r="D38" s="15" t="s">
        <v>27</v>
      </c>
      <c r="E38" s="15" t="s">
        <v>28</v>
      </c>
      <c r="F38" s="15" t="s">
        <v>28</v>
      </c>
      <c r="G38" s="13"/>
      <c r="H38" s="13"/>
      <c r="I38" s="13"/>
      <c r="J38" s="39"/>
    </row>
    <row r="39" spans="2:12" x14ac:dyDescent="0.25">
      <c r="B39" s="16" t="s">
        <v>29</v>
      </c>
      <c r="C39" s="31">
        <f>3480+14410</f>
        <v>17890</v>
      </c>
      <c r="D39" s="31">
        <v>3244</v>
      </c>
      <c r="E39" s="31">
        <f>C39-D39</f>
        <v>14646</v>
      </c>
      <c r="F39" s="31">
        <v>14507</v>
      </c>
      <c r="G39" s="17"/>
      <c r="H39" s="17"/>
      <c r="I39" s="17"/>
      <c r="J39" s="39"/>
      <c r="K39" s="29"/>
    </row>
    <row r="40" spans="2:12" x14ac:dyDescent="0.25">
      <c r="B40" s="16" t="s">
        <v>53</v>
      </c>
      <c r="C40" s="31">
        <f>1100+29830+50214+94317+20596+22108</f>
        <v>218165</v>
      </c>
      <c r="D40" s="31">
        <f>17949+36934+15966</f>
        <v>70849</v>
      </c>
      <c r="E40" s="31">
        <f>C40-D40</f>
        <v>147316</v>
      </c>
      <c r="F40" s="31">
        <v>41068</v>
      </c>
      <c r="G40" s="17" t="s">
        <v>30</v>
      </c>
      <c r="H40" s="31">
        <f>4500+14670</f>
        <v>19170</v>
      </c>
      <c r="I40" s="31">
        <f>4500+14670</f>
        <v>19170</v>
      </c>
      <c r="J40" s="39"/>
      <c r="K40" s="29"/>
      <c r="L40" s="2"/>
    </row>
    <row r="41" spans="2:12" x14ac:dyDescent="0.25">
      <c r="B41" s="16" t="s">
        <v>31</v>
      </c>
      <c r="C41" s="31">
        <f>450+19132+680+626</f>
        <v>20888</v>
      </c>
      <c r="D41" s="32">
        <v>170</v>
      </c>
      <c r="E41" s="31">
        <f>C41-D41</f>
        <v>20718</v>
      </c>
      <c r="F41" s="31">
        <v>26173</v>
      </c>
      <c r="G41" s="17" t="s">
        <v>32</v>
      </c>
      <c r="H41" s="31">
        <f>450+8222+266580+442+158</f>
        <v>275852</v>
      </c>
      <c r="I41" s="31">
        <v>214811</v>
      </c>
      <c r="J41" s="39"/>
      <c r="K41" s="29"/>
      <c r="L41" s="2"/>
    </row>
    <row r="42" spans="2:12" x14ac:dyDescent="0.25">
      <c r="B42" s="16"/>
      <c r="C42" s="31"/>
      <c r="D42" s="31"/>
      <c r="E42" s="31"/>
      <c r="F42" s="31"/>
      <c r="G42" s="17" t="s">
        <v>33</v>
      </c>
      <c r="H42" s="31">
        <v>78027</v>
      </c>
      <c r="I42" s="31">
        <v>73105</v>
      </c>
      <c r="J42" s="39"/>
      <c r="K42" s="2"/>
    </row>
    <row r="43" spans="2:12" x14ac:dyDescent="0.25">
      <c r="B43" s="18"/>
      <c r="C43" s="33"/>
      <c r="D43" s="33"/>
      <c r="E43" s="33"/>
      <c r="F43" s="31"/>
      <c r="G43" s="19"/>
      <c r="H43" s="33"/>
      <c r="I43" s="33"/>
      <c r="J43" s="39"/>
      <c r="K43" s="2"/>
    </row>
    <row r="44" spans="2:12" ht="16.5" thickBot="1" x14ac:dyDescent="0.3">
      <c r="B44" s="20"/>
      <c r="C44" s="34"/>
      <c r="D44" s="34"/>
      <c r="E44" s="34"/>
      <c r="F44" s="35"/>
      <c r="G44" s="21"/>
      <c r="H44" s="34"/>
      <c r="I44" s="34"/>
      <c r="J44" s="39"/>
      <c r="K44" s="2"/>
    </row>
    <row r="45" spans="2:12" ht="16.5" thickBot="1" x14ac:dyDescent="0.3">
      <c r="B45" s="14" t="s">
        <v>34</v>
      </c>
      <c r="C45" s="35">
        <f>SUM(C39:C43)</f>
        <v>256943</v>
      </c>
      <c r="D45" s="35">
        <f t="shared" ref="D45:F45" si="0">SUM(D39:D43)</f>
        <v>74263</v>
      </c>
      <c r="E45" s="35">
        <f t="shared" si="0"/>
        <v>182680</v>
      </c>
      <c r="F45" s="35">
        <f t="shared" si="0"/>
        <v>81748</v>
      </c>
      <c r="G45" s="22" t="s">
        <v>34</v>
      </c>
      <c r="H45" s="35">
        <f>H42+H41+H40</f>
        <v>373049</v>
      </c>
      <c r="I45" s="35">
        <f>I42+I41+I40</f>
        <v>307086</v>
      </c>
      <c r="J45" s="40">
        <v>238056</v>
      </c>
      <c r="K45" s="29"/>
    </row>
    <row r="46" spans="2:12" x14ac:dyDescent="0.25">
      <c r="B46" s="16" t="s">
        <v>35</v>
      </c>
      <c r="C46" s="31">
        <f>19309+9243</f>
        <v>28552</v>
      </c>
      <c r="D46" s="31"/>
      <c r="E46" s="31">
        <f>C46-D46</f>
        <v>28552</v>
      </c>
      <c r="F46" s="31">
        <v>28230</v>
      </c>
      <c r="G46" s="17" t="s">
        <v>36</v>
      </c>
      <c r="H46" s="31"/>
      <c r="I46" s="31"/>
      <c r="J46" s="40"/>
    </row>
    <row r="47" spans="2:12" x14ac:dyDescent="0.25">
      <c r="B47" s="16" t="s">
        <v>37</v>
      </c>
      <c r="C47" s="31">
        <f>66273+3466</f>
        <v>69739</v>
      </c>
      <c r="D47" s="31">
        <v>3185</v>
      </c>
      <c r="E47" s="31">
        <f t="shared" ref="E47:E48" si="1">C47-D47</f>
        <v>66554</v>
      </c>
      <c r="F47" s="31">
        <v>85006</v>
      </c>
      <c r="G47" s="17" t="s">
        <v>38</v>
      </c>
      <c r="H47" s="31">
        <f>26+572+12403+15733</f>
        <v>28734</v>
      </c>
      <c r="I47" s="31">
        <v>20374</v>
      </c>
      <c r="J47" s="40">
        <v>18257</v>
      </c>
    </row>
    <row r="48" spans="2:12" x14ac:dyDescent="0.25">
      <c r="B48" s="64" t="s">
        <v>39</v>
      </c>
      <c r="C48" s="31">
        <v>135480</v>
      </c>
      <c r="D48" s="31">
        <v>568</v>
      </c>
      <c r="E48" s="31">
        <f t="shared" si="1"/>
        <v>134912</v>
      </c>
      <c r="F48" s="31">
        <v>98496</v>
      </c>
      <c r="G48" s="17" t="s">
        <v>40</v>
      </c>
      <c r="H48" s="31">
        <f>10010+6454</f>
        <v>16464</v>
      </c>
      <c r="I48" s="31">
        <v>11448</v>
      </c>
      <c r="J48" s="39"/>
    </row>
    <row r="49" spans="2:10" x14ac:dyDescent="0.25">
      <c r="B49" s="18"/>
      <c r="C49" s="33"/>
      <c r="D49" s="33"/>
      <c r="E49" s="31"/>
      <c r="F49" s="31"/>
      <c r="G49" s="17" t="s">
        <v>46</v>
      </c>
      <c r="H49" s="31">
        <f>18848+7213</f>
        <v>26061</v>
      </c>
      <c r="I49" s="31">
        <v>24954</v>
      </c>
      <c r="J49" s="39"/>
    </row>
    <row r="50" spans="2:10" x14ac:dyDescent="0.25">
      <c r="B50" s="16" t="s">
        <v>41</v>
      </c>
      <c r="C50" s="33">
        <v>35670</v>
      </c>
      <c r="D50" s="33"/>
      <c r="E50" s="31">
        <f t="shared" ref="E50" si="2">C50-D50</f>
        <v>35670</v>
      </c>
      <c r="F50" s="31">
        <v>82289</v>
      </c>
      <c r="G50" s="17"/>
      <c r="H50" s="31"/>
      <c r="I50" s="31"/>
      <c r="J50" s="39"/>
    </row>
    <row r="51" spans="2:10" x14ac:dyDescent="0.25">
      <c r="B51" s="18" t="s">
        <v>42</v>
      </c>
      <c r="C51" s="33"/>
      <c r="D51" s="33"/>
      <c r="E51" s="31"/>
      <c r="F51" s="31"/>
      <c r="G51" s="17" t="s">
        <v>52</v>
      </c>
      <c r="H51" s="31">
        <v>4060</v>
      </c>
      <c r="I51" s="31">
        <v>11907</v>
      </c>
      <c r="J51" s="39"/>
    </row>
    <row r="52" spans="2:10" ht="16.5" thickBot="1" x14ac:dyDescent="0.3">
      <c r="B52" s="20"/>
      <c r="C52" s="34"/>
      <c r="D52" s="34"/>
      <c r="E52" s="34"/>
      <c r="F52" s="34"/>
      <c r="G52" s="17" t="s">
        <v>43</v>
      </c>
      <c r="H52" s="35"/>
      <c r="I52" s="35"/>
      <c r="J52" s="39"/>
    </row>
    <row r="53" spans="2:10" ht="16.5" thickBot="1" x14ac:dyDescent="0.3">
      <c r="B53" s="14" t="s">
        <v>44</v>
      </c>
      <c r="C53" s="35">
        <f t="shared" ref="C53:F53" si="3">SUM(C46:C52)</f>
        <v>269441</v>
      </c>
      <c r="D53" s="35">
        <f t="shared" si="3"/>
        <v>3753</v>
      </c>
      <c r="E53" s="35">
        <f t="shared" si="3"/>
        <v>265688</v>
      </c>
      <c r="F53" s="35">
        <f t="shared" si="3"/>
        <v>294021</v>
      </c>
      <c r="G53" s="22" t="s">
        <v>44</v>
      </c>
      <c r="H53" s="35">
        <f>SUM(H46:H52)</f>
        <v>75319</v>
      </c>
      <c r="I53" s="35">
        <f>SUM(I46:I52)</f>
        <v>68683</v>
      </c>
      <c r="J53" s="39"/>
    </row>
    <row r="54" spans="2:10" ht="16.5" thickBot="1" x14ac:dyDescent="0.3">
      <c r="B54" s="14" t="s">
        <v>45</v>
      </c>
      <c r="C54" s="35">
        <f t="shared" ref="C54:E54" si="4">C53+C45</f>
        <v>526384</v>
      </c>
      <c r="D54" s="35">
        <f t="shared" si="4"/>
        <v>78016</v>
      </c>
      <c r="E54" s="36">
        <f t="shared" si="4"/>
        <v>448368</v>
      </c>
      <c r="F54" s="36">
        <f>F53+F45</f>
        <v>375769</v>
      </c>
      <c r="G54" s="22" t="s">
        <v>45</v>
      </c>
      <c r="H54" s="36">
        <f>H45+H53</f>
        <v>448368</v>
      </c>
      <c r="I54" s="36">
        <f>I45+I53</f>
        <v>375769</v>
      </c>
      <c r="J54" s="41"/>
    </row>
    <row r="55" spans="2:10" x14ac:dyDescent="0.25">
      <c r="B55" s="23"/>
      <c r="C55" s="24"/>
      <c r="D55" s="24"/>
      <c r="E55" s="24"/>
      <c r="F55" s="24"/>
      <c r="G55" s="25"/>
      <c r="H55" s="25"/>
      <c r="I55" s="25"/>
    </row>
    <row r="56" spans="2:10" x14ac:dyDescent="0.25">
      <c r="B56" s="23" t="s">
        <v>67</v>
      </c>
      <c r="F56" s="37">
        <v>327541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Illustration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Marsal</dc:creator>
  <cp:lastModifiedBy>Bertonneau</cp:lastModifiedBy>
  <dcterms:created xsi:type="dcterms:W3CDTF">2023-11-22T10:25:23Z</dcterms:created>
  <dcterms:modified xsi:type="dcterms:W3CDTF">2024-01-25T12:37:36Z</dcterms:modified>
</cp:coreProperties>
</file>